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6" i="1" l="1"/>
  <c r="N2" i="1"/>
  <c r="Y23" i="1" l="1"/>
  <c r="AA16" i="1"/>
  <c r="AB16" i="1" s="1"/>
  <c r="AC16" i="1" s="1"/>
  <c r="Y16" i="1"/>
  <c r="Z16" i="1" s="1"/>
  <c r="X16" i="1"/>
  <c r="U16" i="1"/>
  <c r="T16" i="1"/>
  <c r="AA15" i="1"/>
  <c r="AB15" i="1" s="1"/>
  <c r="X15" i="1"/>
  <c r="AC15" i="1" s="1"/>
  <c r="T15" i="1"/>
  <c r="U15" i="1" s="1"/>
  <c r="AC14" i="1"/>
  <c r="AB14" i="1"/>
  <c r="AA14" i="1"/>
  <c r="Y14" i="1"/>
  <c r="Z14" i="1" s="1"/>
  <c r="X14" i="1"/>
  <c r="U14" i="1"/>
  <c r="T14" i="1"/>
  <c r="AA13" i="1"/>
  <c r="AB13" i="1" s="1"/>
  <c r="X13" i="1"/>
  <c r="AC13" i="1" s="1"/>
  <c r="T13" i="1"/>
  <c r="U13" i="1" s="1"/>
  <c r="AC12" i="1"/>
  <c r="AB12" i="1"/>
  <c r="AA12" i="1"/>
  <c r="Y12" i="1"/>
  <c r="Z12" i="1" s="1"/>
  <c r="X12" i="1"/>
  <c r="U12" i="1"/>
  <c r="T12" i="1"/>
  <c r="AA11" i="1"/>
  <c r="AB11" i="1" s="1"/>
  <c r="X11" i="1"/>
  <c r="AC11" i="1" s="1"/>
  <c r="T11" i="1"/>
  <c r="U11" i="1" s="1"/>
  <c r="AC10" i="1"/>
  <c r="AB10" i="1"/>
  <c r="AA10" i="1"/>
  <c r="Y10" i="1"/>
  <c r="Z10" i="1" s="1"/>
  <c r="X10" i="1"/>
  <c r="U10" i="1"/>
  <c r="T10" i="1"/>
  <c r="AA9" i="1"/>
  <c r="AB9" i="1" s="1"/>
  <c r="X9" i="1"/>
  <c r="AC9" i="1" s="1"/>
  <c r="T9" i="1"/>
  <c r="U9" i="1" s="1"/>
  <c r="AC8" i="1"/>
  <c r="AB8" i="1"/>
  <c r="AA8" i="1"/>
  <c r="Y8" i="1"/>
  <c r="Z8" i="1" s="1"/>
  <c r="X8" i="1"/>
  <c r="U8" i="1"/>
  <c r="T8" i="1"/>
  <c r="AA7" i="1"/>
  <c r="AB7" i="1" s="1"/>
  <c r="X7" i="1"/>
  <c r="T7" i="1"/>
  <c r="U7" i="1" s="1"/>
  <c r="AC6" i="1"/>
  <c r="AB6" i="1"/>
  <c r="AA6" i="1"/>
  <c r="Y6" i="1"/>
  <c r="Z6" i="1" s="1"/>
  <c r="X6" i="1"/>
  <c r="U6" i="1"/>
  <c r="T6" i="1"/>
  <c r="AA5" i="1"/>
  <c r="AB5" i="1" s="1"/>
  <c r="X5" i="1"/>
  <c r="AC5" i="1" s="1"/>
  <c r="T5" i="1"/>
  <c r="U5" i="1" s="1"/>
  <c r="AC4" i="1"/>
  <c r="AB4" i="1"/>
  <c r="AA4" i="1"/>
  <c r="Y4" i="1"/>
  <c r="Z4" i="1" s="1"/>
  <c r="X4" i="1"/>
  <c r="U4" i="1"/>
  <c r="T4" i="1"/>
  <c r="AA3" i="1"/>
  <c r="AB3" i="1" s="1"/>
  <c r="X3" i="1"/>
  <c r="T3" i="1"/>
  <c r="V16" i="1" s="1"/>
  <c r="AC2" i="1"/>
  <c r="AB2" i="1"/>
  <c r="AA2" i="1"/>
  <c r="Y2" i="1"/>
  <c r="Z2" i="1" s="1"/>
  <c r="X2" i="1"/>
  <c r="V2" i="1"/>
  <c r="U2" i="1"/>
  <c r="W2" i="1" s="1"/>
  <c r="T2" i="1"/>
  <c r="V15" i="1" s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  <c r="P2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L2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I17" i="1"/>
  <c r="G17" i="1"/>
  <c r="I16" i="1"/>
  <c r="G16" i="1"/>
  <c r="I15" i="1"/>
  <c r="G15" i="1"/>
  <c r="I14" i="1"/>
  <c r="G14" i="1"/>
  <c r="I13" i="1"/>
  <c r="G13" i="1"/>
  <c r="I12" i="1"/>
  <c r="G12" i="1"/>
  <c r="I11" i="1"/>
  <c r="G11" i="1"/>
  <c r="I10" i="1"/>
  <c r="G10" i="1"/>
  <c r="AE9" i="1"/>
  <c r="I9" i="1"/>
  <c r="G9" i="1"/>
  <c r="I8" i="1"/>
  <c r="G8" i="1"/>
  <c r="I7" i="1"/>
  <c r="G7" i="1"/>
  <c r="I6" i="1"/>
  <c r="G6" i="1"/>
  <c r="I5" i="1"/>
  <c r="G5" i="1"/>
  <c r="I4" i="1"/>
  <c r="G4" i="1"/>
  <c r="AE3" i="1"/>
  <c r="K11" i="1" s="1"/>
  <c r="I3" i="1"/>
  <c r="G3" i="1"/>
  <c r="I2" i="1"/>
  <c r="G2" i="1"/>
  <c r="W15" i="1" l="1"/>
  <c r="AC3" i="1"/>
  <c r="AC7" i="1"/>
  <c r="W4" i="1"/>
  <c r="W8" i="1"/>
  <c r="W6" i="1"/>
  <c r="W9" i="1"/>
  <c r="W14" i="1"/>
  <c r="V6" i="1"/>
  <c r="V10" i="1"/>
  <c r="U3" i="1"/>
  <c r="W3" i="1" s="1"/>
  <c r="Y3" i="1"/>
  <c r="Z3" i="1" s="1"/>
  <c r="Y5" i="1"/>
  <c r="Z5" i="1" s="1"/>
  <c r="Y7" i="1"/>
  <c r="Z7" i="1" s="1"/>
  <c r="Y9" i="1"/>
  <c r="Z9" i="1" s="1"/>
  <c r="Y11" i="1"/>
  <c r="Z11" i="1" s="1"/>
  <c r="Y13" i="1"/>
  <c r="Z13" i="1" s="1"/>
  <c r="Y15" i="1"/>
  <c r="Z15" i="1" s="1"/>
  <c r="V4" i="1"/>
  <c r="V8" i="1"/>
  <c r="V12" i="1"/>
  <c r="V14" i="1"/>
  <c r="V3" i="1"/>
  <c r="V5" i="1"/>
  <c r="V7" i="1"/>
  <c r="V9" i="1"/>
  <c r="V11" i="1"/>
  <c r="V13" i="1"/>
  <c r="M11" i="1"/>
  <c r="K4" i="1"/>
  <c r="M4" i="1" s="1"/>
  <c r="K14" i="1"/>
  <c r="M14" i="1" s="1"/>
  <c r="K10" i="1"/>
  <c r="M10" i="1" s="1"/>
  <c r="K7" i="1"/>
  <c r="M7" i="1" s="1"/>
  <c r="K17" i="1"/>
  <c r="M17" i="1" s="1"/>
  <c r="K13" i="1"/>
  <c r="K6" i="1"/>
  <c r="K3" i="1"/>
  <c r="K16" i="1"/>
  <c r="K12" i="1"/>
  <c r="M12" i="1" s="1"/>
  <c r="K9" i="1"/>
  <c r="M9" i="1" s="1"/>
  <c r="K5" i="1"/>
  <c r="K2" i="1"/>
  <c r="K15" i="1"/>
  <c r="M15" i="1" s="1"/>
  <c r="K8" i="1"/>
  <c r="M8" i="1" s="1"/>
  <c r="W13" i="1" l="1"/>
  <c r="W5" i="1"/>
  <c r="W12" i="1"/>
  <c r="W10" i="1"/>
  <c r="W11" i="1"/>
  <c r="W7" i="1"/>
  <c r="O11" i="1"/>
  <c r="Q11" i="1" s="1"/>
  <c r="M13" i="1"/>
  <c r="M6" i="1"/>
  <c r="O6" i="1" s="1"/>
  <c r="Q6" i="1" s="1"/>
  <c r="O8" i="1"/>
  <c r="Q8" i="1" s="1"/>
  <c r="O14" i="1"/>
  <c r="Q14" i="1" s="1"/>
  <c r="O17" i="1"/>
  <c r="Q17" i="1" s="1"/>
  <c r="X17" i="1"/>
  <c r="O7" i="1"/>
  <c r="Q7" i="1" s="1"/>
  <c r="O4" i="1"/>
  <c r="Q4" i="1" s="1"/>
  <c r="M2" i="1"/>
  <c r="M5" i="1"/>
  <c r="M16" i="1"/>
  <c r="O12" i="1"/>
  <c r="Q12" i="1" s="1"/>
  <c r="O10" i="1"/>
  <c r="Q10" i="1" s="1"/>
  <c r="O9" i="1"/>
  <c r="Q9" i="1" s="1"/>
  <c r="O15" i="1"/>
  <c r="Q15" i="1" s="1"/>
  <c r="M3" i="1"/>
  <c r="O13" i="1" l="1"/>
  <c r="Q13" i="1" s="1"/>
  <c r="O16" i="1"/>
  <c r="Q16" i="1" s="1"/>
  <c r="O5" i="1"/>
  <c r="Q5" i="1" s="1"/>
  <c r="O2" i="1"/>
  <c r="Q2" i="1" s="1"/>
  <c r="O3" i="1"/>
  <c r="Q3" i="1" s="1"/>
  <c r="AC23" i="1" l="1"/>
  <c r="X23" i="1"/>
</calcChain>
</file>

<file path=xl/sharedStrings.xml><?xml version="1.0" encoding="utf-8"?>
<sst xmlns="http://schemas.openxmlformats.org/spreadsheetml/2006/main" count="50" uniqueCount="50">
  <si>
    <t xml:space="preserve">Sample name </t>
  </si>
  <si>
    <t>Time separated</t>
  </si>
  <si>
    <t>Time measured</t>
  </si>
  <si>
    <t>Total bkgd corrected counts (cpm)</t>
  </si>
  <si>
    <t>Time elapsed (hrs)</t>
  </si>
  <si>
    <t>Ingrowth factor</t>
  </si>
  <si>
    <t>CPM of Sr-90</t>
  </si>
  <si>
    <t xml:space="preserve">CPM of Y-90 </t>
  </si>
  <si>
    <t>DPM Total</t>
  </si>
  <si>
    <t>Time from 05.06.2018</t>
  </si>
  <si>
    <t>DC factor</t>
  </si>
  <si>
    <t>DC to 05.06.2018</t>
  </si>
  <si>
    <t>CT12R 1 mL</t>
  </si>
  <si>
    <t>Decay constant of Y-90=</t>
  </si>
  <si>
    <t>CT12R 2 mL</t>
  </si>
  <si>
    <t>CT12R 3 mL</t>
  </si>
  <si>
    <t>CT12R 4 mL</t>
  </si>
  <si>
    <t>CT12R 5 mL</t>
  </si>
  <si>
    <t>CT12R 6 mL</t>
  </si>
  <si>
    <t>CT12R 7 mL</t>
  </si>
  <si>
    <t>Decay constant of sr-90=</t>
  </si>
  <si>
    <t>CT12R 8 mL</t>
  </si>
  <si>
    <t>CT12R 9 mL</t>
  </si>
  <si>
    <t>CT12R 10 mL</t>
  </si>
  <si>
    <t>CT12R 11 mL</t>
  </si>
  <si>
    <t>CT12R 12 mL</t>
  </si>
  <si>
    <t>CT12R 13 mL</t>
  </si>
  <si>
    <t>CT12R 14 mL</t>
  </si>
  <si>
    <t>CT12R 15 mL</t>
  </si>
  <si>
    <t>CT12R blk</t>
  </si>
  <si>
    <t>Total</t>
  </si>
  <si>
    <t>Measured counts (cpm)</t>
  </si>
  <si>
    <r>
      <t xml:space="preserve">Measured counts % </t>
    </r>
    <r>
      <rPr>
        <sz val="11"/>
        <color theme="1"/>
        <rFont val="Calibri"/>
        <family val="2"/>
      </rPr>
      <t>σ</t>
    </r>
  </si>
  <si>
    <t>Measured counts σ</t>
  </si>
  <si>
    <t>Total Bkgd corrected counts σ</t>
  </si>
  <si>
    <r>
      <t xml:space="preserve">Time elapsed (hrs) </t>
    </r>
    <r>
      <rPr>
        <sz val="11"/>
        <color theme="1"/>
        <rFont val="Calibri"/>
        <family val="2"/>
      </rPr>
      <t>σ</t>
    </r>
  </si>
  <si>
    <r>
      <t xml:space="preserve">Ingrowth factor </t>
    </r>
    <r>
      <rPr>
        <sz val="11"/>
        <color theme="1"/>
        <rFont val="Calibri"/>
        <family val="2"/>
      </rPr>
      <t>σ</t>
    </r>
  </si>
  <si>
    <t>Weight of Eluate (g)</t>
  </si>
  <si>
    <t>Weight of Eluate (g) σ</t>
  </si>
  <si>
    <t>Weight Corrected Sr-90 Activity (DPM)</t>
  </si>
  <si>
    <t>Weight Corrected Sr-90 Activity (DPM) σ</t>
  </si>
  <si>
    <t xml:space="preserve">Cumulative Activity (DPM) </t>
  </si>
  <si>
    <t>Cumulative Activity (DPM) σ</t>
  </si>
  <si>
    <t>Activity (bq)</t>
  </si>
  <si>
    <t>Activity (Bq) σ</t>
  </si>
  <si>
    <t>Activity (Bq) σ ^2</t>
  </si>
  <si>
    <r>
      <t xml:space="preserve">CPM of Sr-90 </t>
    </r>
    <r>
      <rPr>
        <sz val="11"/>
        <color theme="1"/>
        <rFont val="Calibri"/>
        <family val="2"/>
      </rPr>
      <t>σ</t>
    </r>
  </si>
  <si>
    <r>
      <t xml:space="preserve">CPM of Y-90 </t>
    </r>
    <r>
      <rPr>
        <sz val="11"/>
        <color theme="1"/>
        <rFont val="Calibri"/>
        <family val="2"/>
      </rPr>
      <t>σ</t>
    </r>
  </si>
  <si>
    <t xml:space="preserve">Sr-90 activity recovered </t>
  </si>
  <si>
    <t>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</si>
</sst>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0000"/>
    <numFmt numFmtId="166" formatCode="0.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22" fontId="0" fillId="0" borderId="0" xfId="0" applyNumberFormat="1"/>
    <xf numFmtId="0" fontId="0" fillId="2" borderId="1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1" xfId="0" applyFill="1" applyBorder="1"/>
    <xf numFmtId="166" fontId="0" fillId="3" borderId="3" xfId="0" applyNumberFormat="1" applyFill="1" applyBorder="1"/>
    <xf numFmtId="166" fontId="0" fillId="3" borderId="1" xfId="0" applyNumberFormat="1" applyFill="1" applyBorder="1"/>
    <xf numFmtId="0" fontId="0" fillId="0" borderId="2" xfId="0" applyBorder="1"/>
    <xf numFmtId="0" fontId="0" fillId="3" borderId="0" xfId="0" applyFill="1"/>
    <xf numFmtId="0" fontId="0" fillId="0" borderId="3" xfId="0" applyBorder="1"/>
    <xf numFmtId="165" fontId="0" fillId="0" borderId="3" xfId="0" applyNumberFormat="1" applyBorder="1"/>
    <xf numFmtId="0" fontId="0" fillId="0" borderId="1" xfId="0" applyBorder="1"/>
    <xf numFmtId="165" fontId="0" fillId="0" borderId="1" xfId="0" applyNumberFormat="1" applyBorder="1"/>
    <xf numFmtId="2" fontId="0" fillId="0" borderId="1" xfId="0" applyNumberFormat="1" applyBorder="1"/>
    <xf numFmtId="2" fontId="0" fillId="3" borderId="1" xfId="0" applyNumberFormat="1" applyFill="1" applyBorder="1"/>
    <xf numFmtId="164" fontId="0" fillId="0" borderId="1" xfId="0" applyNumberFormat="1" applyBorder="1"/>
    <xf numFmtId="22" fontId="0" fillId="0" borderId="1" xfId="0" applyNumberFormat="1" applyBorder="1"/>
    <xf numFmtId="22" fontId="0" fillId="0" borderId="3" xfId="0" applyNumberFormat="1" applyBorder="1"/>
    <xf numFmtId="2" fontId="0" fillId="0" borderId="3" xfId="0" applyNumberFormat="1" applyBorder="1"/>
    <xf numFmtId="2" fontId="0" fillId="3" borderId="3" xfId="0" applyNumberFormat="1" applyFill="1" applyBorder="1"/>
    <xf numFmtId="164" fontId="0" fillId="0" borderId="3" xfId="0" applyNumberFormat="1" applyBorder="1"/>
    <xf numFmtId="0" fontId="0" fillId="0" borderId="5" xfId="0" applyBorder="1"/>
    <xf numFmtId="0" fontId="0" fillId="0" borderId="6" xfId="0" applyBorder="1"/>
    <xf numFmtId="22" fontId="0" fillId="0" borderId="7" xfId="0" applyNumberFormat="1" applyBorder="1"/>
    <xf numFmtId="22" fontId="0" fillId="0" borderId="8" xfId="0" applyNumberFormat="1" applyBorder="1"/>
    <xf numFmtId="0" fontId="0" fillId="0" borderId="4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3"/>
  <sheetViews>
    <sheetView tabSelected="1" topLeftCell="S1" workbookViewId="0">
      <selection activeCell="AD16" sqref="AD16"/>
    </sheetView>
  </sheetViews>
  <sheetFormatPr defaultRowHeight="15" x14ac:dyDescent="0.25"/>
  <cols>
    <col min="1" max="1" width="13.5703125" bestFit="1" customWidth="1"/>
    <col min="2" max="2" width="20.5703125" customWidth="1"/>
    <col min="3" max="3" width="16" customWidth="1"/>
    <col min="4" max="4" width="22.140625" bestFit="1" customWidth="1"/>
    <col min="5" max="6" width="22.140625" style="9" customWidth="1"/>
    <col min="7" max="7" width="31.5703125" bestFit="1" customWidth="1"/>
    <col min="8" max="8" width="31.5703125" customWidth="1"/>
    <col min="9" max="9" width="17.7109375" bestFit="1" customWidth="1"/>
    <col min="10" max="12" width="17.7109375" customWidth="1"/>
    <col min="13" max="13" width="12.140625" bestFit="1" customWidth="1"/>
    <col min="14" max="14" width="13.85546875" bestFit="1" customWidth="1"/>
    <col min="15" max="15" width="12.140625" bestFit="1" customWidth="1"/>
    <col min="16" max="16" width="13.140625" bestFit="1" customWidth="1"/>
    <col min="17" max="17" width="12" bestFit="1" customWidth="1"/>
    <col min="18" max="18" width="18.85546875" bestFit="1" customWidth="1"/>
    <col min="19" max="19" width="20.42578125" style="9" bestFit="1" customWidth="1"/>
    <col min="20" max="20" width="35.42578125" bestFit="1" customWidth="1"/>
    <col min="21" max="21" width="37" bestFit="1" customWidth="1"/>
    <col min="22" max="22" width="25.140625" bestFit="1" customWidth="1"/>
    <col min="23" max="23" width="26.42578125" bestFit="1" customWidth="1"/>
    <col min="24" max="24" width="12.7109375" bestFit="1" customWidth="1"/>
    <col min="25" max="25" width="13.5703125" bestFit="1" customWidth="1"/>
    <col min="26" max="26" width="16" bestFit="1" customWidth="1"/>
    <col min="27" max="27" width="20" bestFit="1" customWidth="1"/>
    <col min="28" max="28" width="10.5703125" bestFit="1" customWidth="1"/>
    <col min="29" max="29" width="15.42578125" bestFit="1" customWidth="1"/>
    <col min="31" max="31" width="21.7109375" bestFit="1" customWidth="1"/>
  </cols>
  <sheetData>
    <row r="1" spans="1:31" ht="15.75" thickBot="1" x14ac:dyDescent="0.3">
      <c r="A1" s="26" t="s">
        <v>0</v>
      </c>
      <c r="B1" s="23" t="s">
        <v>1</v>
      </c>
      <c r="C1" s="8" t="s">
        <v>2</v>
      </c>
      <c r="D1" s="8" t="s">
        <v>31</v>
      </c>
      <c r="E1" s="3" t="s">
        <v>32</v>
      </c>
      <c r="F1" s="3" t="s">
        <v>33</v>
      </c>
      <c r="G1" s="8" t="s">
        <v>3</v>
      </c>
      <c r="H1" s="3" t="s">
        <v>34</v>
      </c>
      <c r="I1" s="8" t="s">
        <v>4</v>
      </c>
      <c r="J1" s="3" t="s">
        <v>35</v>
      </c>
      <c r="K1" s="8" t="s">
        <v>5</v>
      </c>
      <c r="L1" s="3" t="s">
        <v>36</v>
      </c>
      <c r="M1" s="8" t="s">
        <v>6</v>
      </c>
      <c r="N1" s="3" t="s">
        <v>46</v>
      </c>
      <c r="O1" s="8" t="s">
        <v>7</v>
      </c>
      <c r="P1" s="3" t="s">
        <v>47</v>
      </c>
      <c r="Q1" s="8" t="s">
        <v>8</v>
      </c>
      <c r="R1" s="8" t="s">
        <v>37</v>
      </c>
      <c r="S1" s="3" t="s">
        <v>38</v>
      </c>
      <c r="T1" s="8" t="s">
        <v>39</v>
      </c>
      <c r="U1" s="3" t="s">
        <v>40</v>
      </c>
      <c r="V1" s="8" t="s">
        <v>41</v>
      </c>
      <c r="W1" s="3" t="s">
        <v>42</v>
      </c>
      <c r="X1" s="8" t="s">
        <v>43</v>
      </c>
      <c r="Y1" s="3" t="s">
        <v>44</v>
      </c>
      <c r="Z1" s="3" t="s">
        <v>45</v>
      </c>
      <c r="AA1" s="8" t="s">
        <v>9</v>
      </c>
      <c r="AB1" s="8" t="s">
        <v>10</v>
      </c>
      <c r="AC1" s="22" t="s">
        <v>11</v>
      </c>
    </row>
    <row r="2" spans="1:31" x14ac:dyDescent="0.25">
      <c r="A2" s="27" t="s">
        <v>12</v>
      </c>
      <c r="B2" s="24">
        <v>43262.625</v>
      </c>
      <c r="C2" s="18">
        <v>43302.155555555553</v>
      </c>
      <c r="D2" s="19">
        <v>6.99</v>
      </c>
      <c r="E2" s="20">
        <v>6.98</v>
      </c>
      <c r="F2" s="4">
        <f>D2*(E2/100)</f>
        <v>0.487902</v>
      </c>
      <c r="G2" s="10">
        <f>D2-$D$17</f>
        <v>-0.58000000000000007</v>
      </c>
      <c r="H2" s="4">
        <f>SQRT((F2^2)+(F$17^2))</f>
        <v>0.70431421710270758</v>
      </c>
      <c r="I2" s="21">
        <f>(C2-B2)*24</f>
        <v>948.73333333327901</v>
      </c>
      <c r="J2" s="6">
        <f>1/60</f>
        <v>1.6666666666666666E-2</v>
      </c>
      <c r="K2" s="11">
        <f t="shared" ref="K2:K17" si="0">1-EXP(-$AE$3*I2)</f>
        <v>0.99997768587058289</v>
      </c>
      <c r="L2" s="4">
        <f>K2*SQRT(((J2/I2)^2))</f>
        <v>1.7566890694094585E-5</v>
      </c>
      <c r="M2" s="10">
        <f t="shared" ref="M2:M17" si="1">G2/((1+K2))</f>
        <v>-0.29000323558486513</v>
      </c>
      <c r="N2" s="4">
        <f>M2*SQRT(((H2/G2)^2)+((L2/K2)^2))</f>
        <v>-0.35216103767168899</v>
      </c>
      <c r="O2" s="10">
        <f t="shared" ref="O2:O17" si="2">M2*K2</f>
        <v>-0.28999676441513489</v>
      </c>
      <c r="P2" s="4">
        <f t="shared" ref="P2:P17" si="3">O2*SQRT(((N2/M2)^2)+((L2/K2)^2))</f>
        <v>-0.35215317954156838</v>
      </c>
      <c r="Q2" s="10">
        <f t="shared" ref="Q2:Q17" si="4">M2+O2</f>
        <v>-0.58000000000000007</v>
      </c>
      <c r="R2" s="10">
        <v>1.1163999999999996</v>
      </c>
      <c r="S2" s="4">
        <v>1.4142135623730951E-4</v>
      </c>
      <c r="T2" s="10">
        <f t="shared" ref="T2:T16" si="5">M2/R2</f>
        <v>-0.25976642384885812</v>
      </c>
      <c r="U2" s="4">
        <f>T2*SQRT(((S2/R2)^2)+((N2/M2)^2))</f>
        <v>-0.31544342492638661</v>
      </c>
      <c r="V2" s="10">
        <f>SUM($T$2:T2)</f>
        <v>-0.25976642384885812</v>
      </c>
      <c r="W2" s="4">
        <f>SQRT((U2^2))</f>
        <v>0.31544342492638661</v>
      </c>
      <c r="X2" s="10">
        <f t="shared" ref="X2:X16" si="6">M2/60</f>
        <v>-4.8333872597477517E-3</v>
      </c>
      <c r="Y2" s="4">
        <f>X2*SQRT(((N2/M2)^2))</f>
        <v>-5.869350627861483E-3</v>
      </c>
      <c r="Z2" s="4">
        <f>Y2^2</f>
        <v>3.4449276792777983E-5</v>
      </c>
      <c r="AA2" s="10">
        <f t="shared" ref="AA2:AA16" si="7">(C2-$AE$6)*24</f>
        <v>951.73333333327901</v>
      </c>
      <c r="AB2" s="11">
        <f t="shared" ref="AB2:AB16" si="8">EXP(-$AE$9*AA2)</f>
        <v>0.99738858155650001</v>
      </c>
      <c r="AC2" s="10">
        <f>X2/AB2</f>
        <v>-4.8460423039983942E-3</v>
      </c>
      <c r="AE2" t="s">
        <v>13</v>
      </c>
    </row>
    <row r="3" spans="1:31" x14ac:dyDescent="0.25">
      <c r="A3" s="28" t="s">
        <v>14</v>
      </c>
      <c r="B3" s="25">
        <v>43262.625</v>
      </c>
      <c r="C3" s="17">
        <v>43302.177777777775</v>
      </c>
      <c r="D3" s="14">
        <v>6.27</v>
      </c>
      <c r="E3" s="15">
        <v>7.37</v>
      </c>
      <c r="F3" s="5">
        <f t="shared" ref="F3:F17" si="9">D3*(E3/100)</f>
        <v>0.46209899999999998</v>
      </c>
      <c r="G3" s="12">
        <f t="shared" ref="G3:G17" si="10">D3-$D$17</f>
        <v>-1.3000000000000007</v>
      </c>
      <c r="H3" s="5">
        <f>SQRT((F3^2)+(F$17^2))</f>
        <v>0.68669180904536786</v>
      </c>
      <c r="I3" s="16">
        <f t="shared" ref="I3:I17" si="11">(C3-B3)*24</f>
        <v>949.26666666660458</v>
      </c>
      <c r="J3" s="7">
        <f t="shared" ref="J3:J17" si="12">1/60</f>
        <v>1.6666666666666666E-2</v>
      </c>
      <c r="K3" s="13">
        <f t="shared" si="0"/>
        <v>0.99997781981635703</v>
      </c>
      <c r="L3" s="5">
        <f t="shared" ref="L3:L17" si="13">K3*SQRT(((J3/I3)^2))</f>
        <v>1.7557023313020969E-5</v>
      </c>
      <c r="M3" s="12">
        <f t="shared" si="1"/>
        <v>-0.6500072086396288</v>
      </c>
      <c r="N3" s="5">
        <f t="shared" ref="N2:N17" si="14">M3*SQRT(((H3/G3)^2)+((L3/K3)^2))</f>
        <v>-0.34334971249218676</v>
      </c>
      <c r="O3" s="12">
        <f t="shared" si="2"/>
        <v>-0.64999279136037191</v>
      </c>
      <c r="P3" s="5">
        <f t="shared" si="3"/>
        <v>-0.34334209712217229</v>
      </c>
      <c r="Q3" s="12">
        <f t="shared" si="4"/>
        <v>-1.3000000000000007</v>
      </c>
      <c r="R3" s="12">
        <v>1.1200000000000001</v>
      </c>
      <c r="S3" s="5">
        <v>1.4142135623730951E-4</v>
      </c>
      <c r="T3" s="12">
        <f t="shared" si="5"/>
        <v>-0.58036357914252568</v>
      </c>
      <c r="U3" s="5">
        <f t="shared" ref="U3:U16" si="15">T3*SQRT(((S3/R3)^2)+((N3/M3)^2))</f>
        <v>-0.30656225205541499</v>
      </c>
      <c r="V3" s="12">
        <f>SUM($T$2:T3)</f>
        <v>-0.84013000299138385</v>
      </c>
      <c r="W3" s="5">
        <f>SQRT((U3^2)+(U2^2))</f>
        <v>0.4398692632073497</v>
      </c>
      <c r="X3" s="12">
        <f t="shared" si="6"/>
        <v>-1.0833453477327146E-2</v>
      </c>
      <c r="Y3" s="5">
        <f t="shared" ref="Y3:Y16" si="16">X3*SQRT(((N3/M3)^2))</f>
        <v>-5.7224952082031129E-3</v>
      </c>
      <c r="Z3" s="5">
        <f t="shared" ref="Z3:Z16" si="17">Y3^2</f>
        <v>3.274695140790759E-5</v>
      </c>
      <c r="AA3" s="12">
        <f t="shared" si="7"/>
        <v>952.26666666660458</v>
      </c>
      <c r="AB3" s="13">
        <f t="shared" si="8"/>
        <v>0.99738712008056407</v>
      </c>
      <c r="AC3" s="12">
        <f t="shared" ref="AC3:AC16" si="18">X3/AB3</f>
        <v>-1.0861834145654571E-2</v>
      </c>
      <c r="AE3">
        <f>LN(2)/61.4</f>
        <v>1.1289042028663604E-2</v>
      </c>
    </row>
    <row r="4" spans="1:31" x14ac:dyDescent="0.25">
      <c r="A4" s="28" t="s">
        <v>15</v>
      </c>
      <c r="B4" s="25">
        <v>43262.625</v>
      </c>
      <c r="C4" s="17">
        <v>43302.199999942131</v>
      </c>
      <c r="D4" s="14">
        <v>6.58</v>
      </c>
      <c r="E4" s="15">
        <v>7.2</v>
      </c>
      <c r="F4" s="5">
        <f t="shared" si="9"/>
        <v>0.47376000000000007</v>
      </c>
      <c r="G4" s="12">
        <f t="shared" si="10"/>
        <v>-0.99000000000000021</v>
      </c>
      <c r="H4" s="5">
        <f t="shared" ref="H4:H17" si="19">SQRT((F4^2)+(F$17^2))</f>
        <v>0.694592464981445</v>
      </c>
      <c r="I4" s="16">
        <f t="shared" si="11"/>
        <v>949.79999861115357</v>
      </c>
      <c r="J4" s="7">
        <f t="shared" si="12"/>
        <v>1.6666666666666666E-2</v>
      </c>
      <c r="K4" s="13">
        <f t="shared" si="0"/>
        <v>0.99997795295774461</v>
      </c>
      <c r="L4" s="5">
        <f t="shared" si="13"/>
        <v>1.7547167024987082E-5</v>
      </c>
      <c r="M4" s="12">
        <f t="shared" si="1"/>
        <v>-0.49500545670311041</v>
      </c>
      <c r="N4" s="5">
        <f t="shared" si="14"/>
        <v>-0.34730006106890421</v>
      </c>
      <c r="O4" s="12">
        <f t="shared" si="2"/>
        <v>-0.49499454329688986</v>
      </c>
      <c r="P4" s="5">
        <f t="shared" si="3"/>
        <v>-0.3472924042384023</v>
      </c>
      <c r="Q4" s="12">
        <f t="shared" si="4"/>
        <v>-0.99000000000000021</v>
      </c>
      <c r="R4" s="12">
        <v>1.1112000000000002</v>
      </c>
      <c r="S4" s="5">
        <v>1.4142135623730951E-4</v>
      </c>
      <c r="T4" s="12">
        <f t="shared" si="5"/>
        <v>-0.44546927349092003</v>
      </c>
      <c r="U4" s="5">
        <f t="shared" si="15"/>
        <v>-0.31254505649998016</v>
      </c>
      <c r="V4" s="12">
        <f>SUM($T$2:T4)</f>
        <v>-1.2855992764823039</v>
      </c>
      <c r="W4" s="5">
        <f>SQRT((U4^2)+(U3^2)+(U2^2))</f>
        <v>0.5396011314453969</v>
      </c>
      <c r="X4" s="12">
        <f t="shared" si="6"/>
        <v>-8.2500909450518405E-3</v>
      </c>
      <c r="Y4" s="5">
        <f t="shared" si="16"/>
        <v>-5.7883343511484038E-3</v>
      </c>
      <c r="Z4" s="5">
        <f t="shared" si="17"/>
        <v>3.3504814560684613E-5</v>
      </c>
      <c r="AA4" s="12">
        <f t="shared" si="7"/>
        <v>952.79999861115357</v>
      </c>
      <c r="AB4" s="13">
        <f t="shared" si="8"/>
        <v>0.99738565861057527</v>
      </c>
      <c r="AC4" s="12">
        <f t="shared" si="18"/>
        <v>-8.2717160346427749E-3</v>
      </c>
    </row>
    <row r="5" spans="1:31" x14ac:dyDescent="0.25">
      <c r="A5" s="28" t="s">
        <v>16</v>
      </c>
      <c r="B5" s="25">
        <v>43262.625</v>
      </c>
      <c r="C5" s="17">
        <v>43302.223611111112</v>
      </c>
      <c r="D5" s="14">
        <v>7.54</v>
      </c>
      <c r="E5" s="15">
        <v>6.73</v>
      </c>
      <c r="F5" s="5">
        <f t="shared" si="9"/>
        <v>0.50744199999999995</v>
      </c>
      <c r="G5" s="12">
        <f t="shared" si="10"/>
        <v>-3.0000000000000249E-2</v>
      </c>
      <c r="H5" s="5">
        <f t="shared" si="19"/>
        <v>0.71798853624065606</v>
      </c>
      <c r="I5" s="16">
        <f t="shared" si="11"/>
        <v>950.36666666669771</v>
      </c>
      <c r="J5" s="7">
        <f t="shared" si="12"/>
        <v>1.6666666666666666E-2</v>
      </c>
      <c r="K5" s="13">
        <f t="shared" si="0"/>
        <v>0.99997809354558986</v>
      </c>
      <c r="L5" s="5">
        <f t="shared" si="13"/>
        <v>1.7536706771869755E-5</v>
      </c>
      <c r="M5" s="12">
        <f t="shared" si="1"/>
        <v>-1.5000164300207817E-2</v>
      </c>
      <c r="N5" s="5">
        <f t="shared" si="14"/>
        <v>-0.35899820030927859</v>
      </c>
      <c r="O5" s="12">
        <f t="shared" si="2"/>
        <v>-1.499983569979243E-2</v>
      </c>
      <c r="P5" s="5">
        <f t="shared" si="3"/>
        <v>-0.35899033593166663</v>
      </c>
      <c r="Q5" s="12">
        <f t="shared" si="4"/>
        <v>-3.0000000000000249E-2</v>
      </c>
      <c r="R5" s="12">
        <v>1.0517000000000003</v>
      </c>
      <c r="S5" s="5">
        <v>1.4142135623730951E-4</v>
      </c>
      <c r="T5" s="12">
        <f t="shared" si="5"/>
        <v>-1.4262778644297626E-2</v>
      </c>
      <c r="U5" s="5">
        <f t="shared" si="15"/>
        <v>-0.34135038539026819</v>
      </c>
      <c r="V5" s="12">
        <f>SUM($T$2:T5)</f>
        <v>-1.2998620551266016</v>
      </c>
      <c r="W5" s="5">
        <f>SQRT((U5^2)+(U4^2)+(U3^2)+(U2^2))</f>
        <v>0.63850565123829328</v>
      </c>
      <c r="X5" s="12">
        <f t="shared" si="6"/>
        <v>-2.5000273833679696E-4</v>
      </c>
      <c r="Y5" s="5">
        <f t="shared" si="16"/>
        <v>-5.9833033384879769E-3</v>
      </c>
      <c r="Z5" s="5">
        <f t="shared" si="17"/>
        <v>3.5799918840361369E-5</v>
      </c>
      <c r="AA5" s="12">
        <f t="shared" si="7"/>
        <v>953.36666666669771</v>
      </c>
      <c r="AB5" s="13">
        <f t="shared" si="8"/>
        <v>0.99738410579320935</v>
      </c>
      <c r="AC5" s="12">
        <f t="shared" si="18"/>
        <v>-2.5065843428292089E-4</v>
      </c>
    </row>
    <row r="6" spans="1:31" x14ac:dyDescent="0.25">
      <c r="A6" s="28" t="s">
        <v>17</v>
      </c>
      <c r="B6" s="25">
        <v>43262.625</v>
      </c>
      <c r="C6" s="17">
        <v>43302.246527777781</v>
      </c>
      <c r="D6" s="14">
        <v>18.149999999999999</v>
      </c>
      <c r="E6" s="15">
        <v>4.34</v>
      </c>
      <c r="F6" s="5">
        <f t="shared" si="9"/>
        <v>0.78770999999999991</v>
      </c>
      <c r="G6" s="12">
        <f t="shared" si="10"/>
        <v>10.579999999999998</v>
      </c>
      <c r="H6" s="5">
        <f t="shared" si="19"/>
        <v>0.93728181402873689</v>
      </c>
      <c r="I6" s="16">
        <f t="shared" si="11"/>
        <v>950.91666666674428</v>
      </c>
      <c r="J6" s="7">
        <f t="shared" si="12"/>
        <v>1.6666666666666666E-2</v>
      </c>
      <c r="K6" s="13">
        <f t="shared" si="0"/>
        <v>0.99997822914078727</v>
      </c>
      <c r="L6" s="5">
        <f t="shared" si="13"/>
        <v>1.7526566105349323E-5</v>
      </c>
      <c r="M6" s="12">
        <f t="shared" si="1"/>
        <v>5.2900575845494497</v>
      </c>
      <c r="N6" s="5">
        <f t="shared" si="14"/>
        <v>0.46864601759938551</v>
      </c>
      <c r="O6" s="12">
        <f t="shared" si="2"/>
        <v>5.2899424154505494</v>
      </c>
      <c r="P6" s="5">
        <f t="shared" si="3"/>
        <v>0.4686358239445978</v>
      </c>
      <c r="Q6" s="12">
        <f t="shared" si="4"/>
        <v>10.579999999999998</v>
      </c>
      <c r="R6" s="12">
        <v>0.90249999999999986</v>
      </c>
      <c r="S6" s="5">
        <v>1.4142135623730951E-4</v>
      </c>
      <c r="T6" s="12">
        <f t="shared" si="5"/>
        <v>5.8615596504703049</v>
      </c>
      <c r="U6" s="5">
        <f t="shared" si="15"/>
        <v>0.51927617809371895</v>
      </c>
      <c r="V6" s="12">
        <f>SUM($T$2:T6)</f>
        <v>4.5616975953437038</v>
      </c>
      <c r="W6" s="5">
        <f>SQRT((U6^2)+(U5^2)+(U4^2)+(U3^2)+(U2^2))</f>
        <v>0.82300499135719518</v>
      </c>
      <c r="X6" s="12">
        <f t="shared" si="6"/>
        <v>8.8167626409157498E-2</v>
      </c>
      <c r="Y6" s="5">
        <f t="shared" si="16"/>
        <v>7.8107669599897581E-3</v>
      </c>
      <c r="Z6" s="5">
        <f t="shared" si="17"/>
        <v>6.1008080503267649E-5</v>
      </c>
      <c r="AA6" s="12">
        <f t="shared" si="7"/>
        <v>953.91666666674428</v>
      </c>
      <c r="AB6" s="13">
        <f t="shared" si="8"/>
        <v>0.99738259865294809</v>
      </c>
      <c r="AC6" s="12">
        <f t="shared" si="18"/>
        <v>8.8399002076269967E-2</v>
      </c>
      <c r="AE6" s="1">
        <v>43262.5</v>
      </c>
    </row>
    <row r="7" spans="1:31" x14ac:dyDescent="0.25">
      <c r="A7" s="28" t="s">
        <v>18</v>
      </c>
      <c r="B7" s="25">
        <v>43262.625</v>
      </c>
      <c r="C7" s="17">
        <v>43302.269444444442</v>
      </c>
      <c r="D7" s="14">
        <v>122.05</v>
      </c>
      <c r="E7" s="15">
        <v>1.67</v>
      </c>
      <c r="F7" s="5">
        <f t="shared" si="9"/>
        <v>2.0382349999999998</v>
      </c>
      <c r="G7" s="12">
        <f t="shared" si="10"/>
        <v>114.47999999999999</v>
      </c>
      <c r="H7" s="5">
        <f t="shared" si="19"/>
        <v>2.1005742238811744</v>
      </c>
      <c r="I7" s="16">
        <f t="shared" si="11"/>
        <v>951.46666666661622</v>
      </c>
      <c r="J7" s="7">
        <f t="shared" si="12"/>
        <v>1.6666666666666666E-2</v>
      </c>
      <c r="K7" s="13">
        <f t="shared" si="0"/>
        <v>0.99997836389668604</v>
      </c>
      <c r="L7" s="5">
        <f t="shared" si="13"/>
        <v>1.7516437147854875E-5</v>
      </c>
      <c r="M7" s="12">
        <f t="shared" si="1"/>
        <v>57.240619231975721</v>
      </c>
      <c r="N7" s="5">
        <f t="shared" si="14"/>
        <v>1.0502989527275555</v>
      </c>
      <c r="O7" s="12">
        <f t="shared" si="2"/>
        <v>57.239380768024262</v>
      </c>
      <c r="P7" s="5">
        <f t="shared" si="3"/>
        <v>1.0502767069441508</v>
      </c>
      <c r="Q7" s="12">
        <f t="shared" si="4"/>
        <v>114.47999999999999</v>
      </c>
      <c r="R7" s="12">
        <v>0.91979999999999951</v>
      </c>
      <c r="S7" s="5">
        <v>1.4142135623730951E-4</v>
      </c>
      <c r="T7" s="12">
        <f t="shared" si="5"/>
        <v>62.231592989754027</v>
      </c>
      <c r="U7" s="5">
        <f t="shared" si="15"/>
        <v>1.1419176180874793</v>
      </c>
      <c r="V7" s="12">
        <f>SUM($T$2:T7)</f>
        <v>66.793290585097736</v>
      </c>
      <c r="W7" s="5">
        <f>SQRT((U7^2)+(U6^2)+(U5^2)+(U4^2)+(U3^2)+(U2^2))</f>
        <v>1.4075912269893696</v>
      </c>
      <c r="X7" s="12">
        <f t="shared" si="6"/>
        <v>0.95401032053292867</v>
      </c>
      <c r="Y7" s="5">
        <f t="shared" si="16"/>
        <v>1.750498254545926E-2</v>
      </c>
      <c r="Z7" s="5">
        <f t="shared" si="17"/>
        <v>3.0642441391683334E-4</v>
      </c>
      <c r="AA7" s="12">
        <f t="shared" si="7"/>
        <v>954.46666666661622</v>
      </c>
      <c r="AB7" s="13">
        <f t="shared" si="8"/>
        <v>0.99738109151496479</v>
      </c>
      <c r="AC7" s="12">
        <f t="shared" si="18"/>
        <v>0.95651534669044269</v>
      </c>
    </row>
    <row r="8" spans="1:31" x14ac:dyDescent="0.25">
      <c r="A8" s="28" t="s">
        <v>19</v>
      </c>
      <c r="B8" s="25">
        <v>43262.625</v>
      </c>
      <c r="C8" s="17">
        <v>43302.292361111111</v>
      </c>
      <c r="D8" s="14">
        <v>229.5</v>
      </c>
      <c r="E8" s="15">
        <v>1.22</v>
      </c>
      <c r="F8" s="5">
        <f t="shared" si="9"/>
        <v>2.7998999999999996</v>
      </c>
      <c r="G8" s="12">
        <f t="shared" si="10"/>
        <v>221.93</v>
      </c>
      <c r="H8" s="5">
        <f t="shared" si="19"/>
        <v>2.8456018985109277</v>
      </c>
      <c r="I8" s="16">
        <f t="shared" si="11"/>
        <v>952.01666666666279</v>
      </c>
      <c r="J8" s="7">
        <f t="shared" si="12"/>
        <v>1.6666666666666666E-2</v>
      </c>
      <c r="K8" s="13">
        <f t="shared" si="0"/>
        <v>0.99997849781848125</v>
      </c>
      <c r="L8" s="5">
        <f t="shared" si="13"/>
        <v>1.7506319879177279E-5</v>
      </c>
      <c r="M8" s="12">
        <f t="shared" si="1"/>
        <v>110.96619300761226</v>
      </c>
      <c r="N8" s="5">
        <f t="shared" si="14"/>
        <v>1.4228175722873497</v>
      </c>
      <c r="O8" s="12">
        <f t="shared" si="2"/>
        <v>110.96380699238777</v>
      </c>
      <c r="P8" s="5">
        <f t="shared" si="3"/>
        <v>1.4227883047811805</v>
      </c>
      <c r="Q8" s="12">
        <f t="shared" si="4"/>
        <v>221.93000000000004</v>
      </c>
      <c r="R8" s="12">
        <v>0.92980000000000018</v>
      </c>
      <c r="S8" s="5">
        <v>1.4142135623730951E-4</v>
      </c>
      <c r="T8" s="12">
        <f t="shared" si="5"/>
        <v>119.34415251410222</v>
      </c>
      <c r="U8" s="5">
        <f t="shared" si="15"/>
        <v>1.5303481105007741</v>
      </c>
      <c r="V8" s="12">
        <f>SUM($T$2:T8)</f>
        <v>186.13744309919997</v>
      </c>
      <c r="W8" s="5">
        <f>SQRT((U8^2)+(U7^2)+(U6^2)+(U5^2)+(U4^2)+(U3^2)+(U2^2))</f>
        <v>2.0792494803680315</v>
      </c>
      <c r="X8" s="12">
        <f t="shared" si="6"/>
        <v>1.849436550126871</v>
      </c>
      <c r="Y8" s="5">
        <f t="shared" si="16"/>
        <v>2.3713626204789163E-2</v>
      </c>
      <c r="Z8" s="5">
        <f t="shared" si="17"/>
        <v>5.6233606778046329E-4</v>
      </c>
      <c r="AA8" s="12">
        <f t="shared" si="7"/>
        <v>955.01666666666279</v>
      </c>
      <c r="AB8" s="13">
        <f t="shared" si="8"/>
        <v>0.99737958437925844</v>
      </c>
      <c r="AC8" s="12">
        <f t="shared" si="18"/>
        <v>1.8542955752176433</v>
      </c>
      <c r="AE8" t="s">
        <v>20</v>
      </c>
    </row>
    <row r="9" spans="1:31" x14ac:dyDescent="0.25">
      <c r="A9" s="28" t="s">
        <v>21</v>
      </c>
      <c r="B9" s="25">
        <v>43262.625</v>
      </c>
      <c r="C9" s="17">
        <v>43302.31527777778</v>
      </c>
      <c r="D9" s="14">
        <v>214.82</v>
      </c>
      <c r="E9" s="15">
        <v>1.26</v>
      </c>
      <c r="F9" s="5">
        <f t="shared" si="9"/>
        <v>2.7067320000000001</v>
      </c>
      <c r="G9" s="12">
        <f t="shared" si="10"/>
        <v>207.25</v>
      </c>
      <c r="H9" s="5">
        <f t="shared" si="19"/>
        <v>2.7539804419481633</v>
      </c>
      <c r="I9" s="16">
        <f t="shared" si="11"/>
        <v>952.56666666670935</v>
      </c>
      <c r="J9" s="7">
        <f t="shared" si="12"/>
        <v>1.6666666666666666E-2</v>
      </c>
      <c r="K9" s="13">
        <f t="shared" si="0"/>
        <v>0.99997863091133565</v>
      </c>
      <c r="L9" s="5">
        <f t="shared" si="13"/>
        <v>1.7496214279163156E-5</v>
      </c>
      <c r="M9" s="12">
        <f t="shared" si="1"/>
        <v>103.62610719773633</v>
      </c>
      <c r="N9" s="5">
        <f t="shared" si="14"/>
        <v>1.3770061273010037</v>
      </c>
      <c r="O9" s="12">
        <f t="shared" si="2"/>
        <v>103.62389280226368</v>
      </c>
      <c r="P9" s="5">
        <f t="shared" si="3"/>
        <v>1.3769778955650989</v>
      </c>
      <c r="Q9" s="12">
        <f t="shared" si="4"/>
        <v>207.25</v>
      </c>
      <c r="R9" s="12">
        <v>0.89440000000000008</v>
      </c>
      <c r="S9" s="5">
        <v>1.4142135623730951E-4</v>
      </c>
      <c r="T9" s="12">
        <f t="shared" si="5"/>
        <v>115.86103219782683</v>
      </c>
      <c r="U9" s="5">
        <f t="shared" si="15"/>
        <v>1.5396954484586498</v>
      </c>
      <c r="V9" s="12">
        <f>SUM($T$2:T9)</f>
        <v>301.9984752970268</v>
      </c>
      <c r="W9" s="5">
        <f>SQRT((U9^2)+(U8^2)+(U7^2)+(U6^2)+(U5^2)+(U4^2)+(U3^2)+(U2^2))</f>
        <v>2.5872650570853795</v>
      </c>
      <c r="X9" s="12">
        <f t="shared" si="6"/>
        <v>1.7271017866289389</v>
      </c>
      <c r="Y9" s="5">
        <f t="shared" si="16"/>
        <v>2.2950102121683396E-2</v>
      </c>
      <c r="Z9" s="5">
        <f t="shared" si="17"/>
        <v>5.2670718739569668E-4</v>
      </c>
      <c r="AA9" s="12">
        <f t="shared" si="7"/>
        <v>955.56666666670935</v>
      </c>
      <c r="AB9" s="13">
        <f t="shared" si="8"/>
        <v>0.9973780772458295</v>
      </c>
      <c r="AC9" s="12">
        <f t="shared" si="18"/>
        <v>1.7316420182386365</v>
      </c>
      <c r="AE9">
        <f>LN(2)/252288</f>
        <v>2.7474441137110973E-6</v>
      </c>
    </row>
    <row r="10" spans="1:31" x14ac:dyDescent="0.25">
      <c r="A10" s="28" t="s">
        <v>22</v>
      </c>
      <c r="B10" s="25">
        <v>43262.625</v>
      </c>
      <c r="C10" s="17">
        <v>43302.338194444441</v>
      </c>
      <c r="D10" s="14">
        <v>150.37</v>
      </c>
      <c r="E10" s="15">
        <v>1.51</v>
      </c>
      <c r="F10" s="5">
        <f t="shared" si="9"/>
        <v>2.2705870000000004</v>
      </c>
      <c r="G10" s="12">
        <f t="shared" si="10"/>
        <v>142.80000000000001</v>
      </c>
      <c r="H10" s="5">
        <f t="shared" si="19"/>
        <v>2.3267091522960066</v>
      </c>
      <c r="I10" s="16">
        <f t="shared" si="11"/>
        <v>953.1166666665813</v>
      </c>
      <c r="J10" s="7">
        <f t="shared" si="12"/>
        <v>1.6666666666666666E-2</v>
      </c>
      <c r="K10" s="13">
        <f t="shared" si="0"/>
        <v>0.99997876318038026</v>
      </c>
      <c r="L10" s="5">
        <f t="shared" si="13"/>
        <v>1.748612032770507E-5</v>
      </c>
      <c r="M10" s="12">
        <f t="shared" si="1"/>
        <v>71.400758162510911</v>
      </c>
      <c r="N10" s="5">
        <f t="shared" si="14"/>
        <v>1.1633675992384347</v>
      </c>
      <c r="O10" s="12">
        <f t="shared" si="2"/>
        <v>71.3992418374891</v>
      </c>
      <c r="P10" s="5">
        <f t="shared" si="3"/>
        <v>1.1633435629795814</v>
      </c>
      <c r="Q10" s="12">
        <f t="shared" si="4"/>
        <v>142.80000000000001</v>
      </c>
      <c r="R10" s="12">
        <v>0.91760000000000019</v>
      </c>
      <c r="S10" s="5">
        <v>1.4142135623730951E-4</v>
      </c>
      <c r="T10" s="12">
        <f t="shared" si="5"/>
        <v>77.812508895500102</v>
      </c>
      <c r="U10" s="5">
        <f t="shared" si="15"/>
        <v>1.267894118806703</v>
      </c>
      <c r="V10" s="12">
        <f>SUM($T$2:T10)</f>
        <v>379.81098419252692</v>
      </c>
      <c r="W10" s="5">
        <f>SQRT((U10^2)+(U9^2)+(U8^2)+(U7^2)+(U6^2)+(U5^2)+(U4^2)+(U3^2)+(U2^2))</f>
        <v>2.8812316762314754</v>
      </c>
      <c r="X10" s="12">
        <f t="shared" si="6"/>
        <v>1.1900126360418486</v>
      </c>
      <c r="Y10" s="5">
        <f t="shared" si="16"/>
        <v>1.9389459987307244E-2</v>
      </c>
      <c r="Z10" s="5">
        <f t="shared" si="17"/>
        <v>3.7595115859938863E-4</v>
      </c>
      <c r="AA10" s="12">
        <f t="shared" si="7"/>
        <v>956.1166666665813</v>
      </c>
      <c r="AB10" s="13">
        <f t="shared" si="8"/>
        <v>0.9973765701146784</v>
      </c>
      <c r="AC10" s="12">
        <f t="shared" si="18"/>
        <v>1.1931427624222424</v>
      </c>
    </row>
    <row r="11" spans="1:31" x14ac:dyDescent="0.25">
      <c r="A11" s="28" t="s">
        <v>23</v>
      </c>
      <c r="B11" s="25">
        <v>43262.625</v>
      </c>
      <c r="C11" s="17">
        <v>43302.359722222223</v>
      </c>
      <c r="D11" s="14">
        <v>86.46</v>
      </c>
      <c r="E11" s="15">
        <v>1.99</v>
      </c>
      <c r="F11" s="5">
        <f t="shared" si="9"/>
        <v>1.7205539999999999</v>
      </c>
      <c r="G11" s="12">
        <f t="shared" si="10"/>
        <v>78.889999999999986</v>
      </c>
      <c r="H11" s="5">
        <f t="shared" si="19"/>
        <v>1.7939666166696078</v>
      </c>
      <c r="I11" s="16">
        <f t="shared" si="11"/>
        <v>953.6333333333605</v>
      </c>
      <c r="J11" s="7">
        <f t="shared" si="12"/>
        <v>1.6666666666666666E-2</v>
      </c>
      <c r="K11" s="13">
        <f t="shared" si="0"/>
        <v>0.99997888668723978</v>
      </c>
      <c r="L11" s="5">
        <f t="shared" si="13"/>
        <v>1.7476648723954197E-5</v>
      </c>
      <c r="M11" s="12">
        <f t="shared" si="1"/>
        <v>39.445416411706823</v>
      </c>
      <c r="N11" s="5">
        <f t="shared" si="14"/>
        <v>0.89699304249566691</v>
      </c>
      <c r="O11" s="12">
        <f t="shared" si="2"/>
        <v>39.444583588293163</v>
      </c>
      <c r="P11" s="5">
        <f t="shared" si="3"/>
        <v>0.89697436891167992</v>
      </c>
      <c r="Q11" s="12">
        <f t="shared" si="4"/>
        <v>78.889999999999986</v>
      </c>
      <c r="R11" s="12">
        <v>0.90909999999999958</v>
      </c>
      <c r="S11" s="5">
        <v>1.4142135623730951E-4</v>
      </c>
      <c r="T11" s="12">
        <f t="shared" si="5"/>
        <v>43.389524157635947</v>
      </c>
      <c r="U11" s="5">
        <f t="shared" si="15"/>
        <v>0.98670556673217891</v>
      </c>
      <c r="V11" s="12">
        <f>SUM($T$2:T11)</f>
        <v>423.20050835016286</v>
      </c>
      <c r="W11" s="5">
        <f>SQRT((U11^2)+(U10^2)+(U9^2)+(U8^2)+(U7^2)+(U6^2)+(U5^2)+(U4^2)+(U3^2)+(U2^2))</f>
        <v>3.0455022323977876</v>
      </c>
      <c r="X11" s="12">
        <f t="shared" si="6"/>
        <v>0.65742360686178036</v>
      </c>
      <c r="Y11" s="5">
        <f t="shared" si="16"/>
        <v>1.4949884041594448E-2</v>
      </c>
      <c r="Z11" s="5">
        <f t="shared" si="17"/>
        <v>2.2349903285712037E-4</v>
      </c>
      <c r="AA11" s="12">
        <f t="shared" si="7"/>
        <v>956.6333333333605</v>
      </c>
      <c r="AB11" s="13">
        <f t="shared" si="8"/>
        <v>0.99737515432688317</v>
      </c>
      <c r="AC11" s="12">
        <f t="shared" si="18"/>
        <v>0.65915378381915668</v>
      </c>
    </row>
    <row r="12" spans="1:31" x14ac:dyDescent="0.25">
      <c r="A12" s="28" t="s">
        <v>24</v>
      </c>
      <c r="B12" s="25">
        <v>43262.625</v>
      </c>
      <c r="C12" s="17">
        <v>43302.382638888892</v>
      </c>
      <c r="D12" s="14">
        <v>55.92</v>
      </c>
      <c r="E12" s="15">
        <v>2.4700000000000002</v>
      </c>
      <c r="F12" s="5">
        <f t="shared" si="9"/>
        <v>1.3812240000000002</v>
      </c>
      <c r="G12" s="12">
        <f t="shared" si="10"/>
        <v>48.35</v>
      </c>
      <c r="H12" s="5">
        <f t="shared" si="19"/>
        <v>1.4716622890408657</v>
      </c>
      <c r="I12" s="16">
        <f t="shared" si="11"/>
        <v>954.18333333340706</v>
      </c>
      <c r="J12" s="7">
        <f t="shared" si="12"/>
        <v>1.6666666666666666E-2</v>
      </c>
      <c r="K12" s="13">
        <f t="shared" si="0"/>
        <v>0.9999790173730988</v>
      </c>
      <c r="L12" s="5">
        <f t="shared" si="13"/>
        <v>1.7466577306475372E-5</v>
      </c>
      <c r="M12" s="12">
        <f t="shared" si="1"/>
        <v>24.175253630163585</v>
      </c>
      <c r="N12" s="5">
        <f t="shared" si="14"/>
        <v>0.73583898559769867</v>
      </c>
      <c r="O12" s="12">
        <f t="shared" si="2"/>
        <v>24.17474636983642</v>
      </c>
      <c r="P12" s="5">
        <f t="shared" si="3"/>
        <v>0.73582366692133205</v>
      </c>
      <c r="Q12" s="12">
        <f t="shared" si="4"/>
        <v>48.350000000000009</v>
      </c>
      <c r="R12" s="12">
        <v>0.90669999999999984</v>
      </c>
      <c r="S12" s="5">
        <v>1.4142135623730951E-4</v>
      </c>
      <c r="T12" s="12">
        <f t="shared" si="5"/>
        <v>26.662902426561807</v>
      </c>
      <c r="U12" s="5">
        <f t="shared" si="15"/>
        <v>0.81156793510101299</v>
      </c>
      <c r="V12" s="12">
        <f>SUM($T$2:T12)</f>
        <v>449.86341077672466</v>
      </c>
      <c r="W12" s="5">
        <f>SQRT((U12^2)+(U11^2)+(U10^2)+(U9^2)+(U8^2)+(U7^2)+(U6^2)+(U5^2)+(U4^2)+(U3^2)+(U2^2))</f>
        <v>3.1517814582905381</v>
      </c>
      <c r="X12" s="12">
        <f t="shared" si="6"/>
        <v>0.40292089383605972</v>
      </c>
      <c r="Y12" s="5">
        <f t="shared" si="16"/>
        <v>1.2263983093294977E-2</v>
      </c>
      <c r="Z12" s="5">
        <f t="shared" si="17"/>
        <v>1.5040528131262502E-4</v>
      </c>
      <c r="AA12" s="12">
        <f t="shared" si="7"/>
        <v>957.18333333340706</v>
      </c>
      <c r="AB12" s="13">
        <f t="shared" si="8"/>
        <v>0.99737364720014843</v>
      </c>
      <c r="AC12" s="12">
        <f t="shared" si="18"/>
        <v>0.40398189281133412</v>
      </c>
    </row>
    <row r="13" spans="1:31" x14ac:dyDescent="0.25">
      <c r="A13" s="28" t="s">
        <v>25</v>
      </c>
      <c r="B13" s="25">
        <v>43262.625</v>
      </c>
      <c r="C13" s="17">
        <v>43302.405555555553</v>
      </c>
      <c r="D13" s="14">
        <v>32.75</v>
      </c>
      <c r="E13" s="15">
        <v>3.23</v>
      </c>
      <c r="F13" s="5">
        <f t="shared" si="9"/>
        <v>1.057825</v>
      </c>
      <c r="G13" s="12">
        <f t="shared" si="10"/>
        <v>25.18</v>
      </c>
      <c r="H13" s="5">
        <f t="shared" si="19"/>
        <v>1.1734580884863335</v>
      </c>
      <c r="I13" s="16">
        <f t="shared" si="11"/>
        <v>954.73333333327901</v>
      </c>
      <c r="J13" s="7">
        <f t="shared" si="12"/>
        <v>1.6666666666666666E-2</v>
      </c>
      <c r="K13" s="13">
        <f t="shared" si="0"/>
        <v>0.99997914725004655</v>
      </c>
      <c r="L13" s="5">
        <f t="shared" si="13"/>
        <v>1.7456517478704408E-5</v>
      </c>
      <c r="M13" s="12">
        <f t="shared" si="1"/>
        <v>12.590131269429621</v>
      </c>
      <c r="N13" s="5">
        <f t="shared" si="14"/>
        <v>0.58673520292836856</v>
      </c>
      <c r="O13" s="12">
        <f t="shared" si="2"/>
        <v>12.589868730570378</v>
      </c>
      <c r="P13" s="5">
        <f t="shared" si="3"/>
        <v>0.58672300904942487</v>
      </c>
      <c r="Q13" s="12">
        <f t="shared" si="4"/>
        <v>25.18</v>
      </c>
      <c r="R13" s="12">
        <v>0.89309999999999956</v>
      </c>
      <c r="S13" s="5">
        <v>1.4142135623730951E-4</v>
      </c>
      <c r="T13" s="12">
        <f t="shared" si="5"/>
        <v>14.097112607132043</v>
      </c>
      <c r="U13" s="5">
        <f t="shared" si="15"/>
        <v>0.65696852529610683</v>
      </c>
      <c r="V13" s="12">
        <f>SUM($T$2:T13)</f>
        <v>463.9605233838567</v>
      </c>
      <c r="W13" s="5">
        <f>SQRT((U13^2)+(U12^2)+(U11^2)+(U10^2)+(U9^2)+(U8^2)+(U7^2)+(U6^2)+(U5^2)+(U4^2)+(U3^2)+(U2^2))</f>
        <v>3.2195238784723701</v>
      </c>
      <c r="X13" s="12">
        <f t="shared" si="6"/>
        <v>0.20983552115716037</v>
      </c>
      <c r="Y13" s="5">
        <f t="shared" si="16"/>
        <v>9.7789200488061431E-3</v>
      </c>
      <c r="Z13" s="5">
        <f t="shared" si="17"/>
        <v>9.5627277320942737E-5</v>
      </c>
      <c r="AA13" s="12">
        <f t="shared" si="7"/>
        <v>957.73333333327901</v>
      </c>
      <c r="AB13" s="13">
        <f t="shared" si="8"/>
        <v>0.99737214007569164</v>
      </c>
      <c r="AC13" s="12">
        <f t="shared" si="18"/>
        <v>0.2103883923820408</v>
      </c>
    </row>
    <row r="14" spans="1:31" x14ac:dyDescent="0.25">
      <c r="A14" s="28" t="s">
        <v>26</v>
      </c>
      <c r="B14" s="25">
        <v>43262.625</v>
      </c>
      <c r="C14" s="17">
        <v>43302.428472106483</v>
      </c>
      <c r="D14" s="14">
        <v>22.65</v>
      </c>
      <c r="E14" s="15">
        <v>3.88</v>
      </c>
      <c r="F14" s="5">
        <f t="shared" si="9"/>
        <v>0.87881999999999993</v>
      </c>
      <c r="G14" s="12">
        <f t="shared" si="10"/>
        <v>15.079999999999998</v>
      </c>
      <c r="H14" s="5">
        <f t="shared" si="19"/>
        <v>1.0150540612248196</v>
      </c>
      <c r="I14" s="16">
        <f t="shared" si="11"/>
        <v>955.28333055559779</v>
      </c>
      <c r="J14" s="7">
        <f t="shared" si="12"/>
        <v>1.6666666666666666E-2</v>
      </c>
      <c r="K14" s="13">
        <f t="shared" si="0"/>
        <v>0.99997927632244044</v>
      </c>
      <c r="L14" s="5">
        <f t="shared" si="13"/>
        <v>1.7446469271422809E-5</v>
      </c>
      <c r="M14" s="12">
        <f t="shared" si="1"/>
        <v>7.5400781290739598</v>
      </c>
      <c r="N14" s="5">
        <f t="shared" si="14"/>
        <v>0.50753230662886373</v>
      </c>
      <c r="O14" s="12">
        <f t="shared" si="2"/>
        <v>7.5399218709260394</v>
      </c>
      <c r="P14" s="5">
        <f t="shared" si="3"/>
        <v>0.50752180574132999</v>
      </c>
      <c r="Q14" s="12">
        <f t="shared" si="4"/>
        <v>15.079999999999998</v>
      </c>
      <c r="R14" s="12">
        <v>0.91500000000000004</v>
      </c>
      <c r="S14" s="5">
        <v>1.4142135623730951E-4</v>
      </c>
      <c r="T14" s="12">
        <f t="shared" si="5"/>
        <v>8.240522545436022</v>
      </c>
      <c r="U14" s="5">
        <f t="shared" si="15"/>
        <v>0.5546815787927456</v>
      </c>
      <c r="V14" s="12">
        <f>SUM($T$2:T14)</f>
        <v>472.20104592929272</v>
      </c>
      <c r="W14" s="5">
        <f>SQRT((U14^2)+(U13^2)+(U12^2)+(U11^2)+(U10^2)+(U9^2)+(U8^2)+(U7^2)+(U6^2)+(U5^2)+(U4^2)+(U3^2)+(U2^2))</f>
        <v>3.266956635449235</v>
      </c>
      <c r="X14" s="12">
        <f t="shared" si="6"/>
        <v>0.12566796881789932</v>
      </c>
      <c r="Y14" s="5">
        <f t="shared" si="16"/>
        <v>8.4588717771477279E-3</v>
      </c>
      <c r="Z14" s="5">
        <f t="shared" si="17"/>
        <v>7.1552511742226362E-5</v>
      </c>
      <c r="AA14" s="12">
        <f t="shared" si="7"/>
        <v>958.28333055559779</v>
      </c>
      <c r="AB14" s="13">
        <f t="shared" si="8"/>
        <v>0.99737063296112327</v>
      </c>
      <c r="AC14" s="12">
        <f t="shared" si="18"/>
        <v>0.12599926713783416</v>
      </c>
    </row>
    <row r="15" spans="1:31" x14ac:dyDescent="0.25">
      <c r="A15" s="28" t="s">
        <v>27</v>
      </c>
      <c r="B15" s="25">
        <v>43262.625</v>
      </c>
      <c r="C15" s="17">
        <v>43302.451388715279</v>
      </c>
      <c r="D15" s="14">
        <v>17.600000000000001</v>
      </c>
      <c r="E15" s="15">
        <v>4.4000000000000004</v>
      </c>
      <c r="F15" s="5">
        <f t="shared" si="9"/>
        <v>0.77440000000000009</v>
      </c>
      <c r="G15" s="12">
        <f t="shared" si="10"/>
        <v>10.030000000000001</v>
      </c>
      <c r="H15" s="5">
        <f t="shared" si="19"/>
        <v>0.92612391979097486</v>
      </c>
      <c r="I15" s="16">
        <f t="shared" si="11"/>
        <v>955.83332916669315</v>
      </c>
      <c r="J15" s="7">
        <f t="shared" si="12"/>
        <v>1.6666666666666666E-2</v>
      </c>
      <c r="K15" s="13">
        <f t="shared" si="0"/>
        <v>0.99997940459623691</v>
      </c>
      <c r="L15" s="5">
        <f t="shared" si="13"/>
        <v>1.7436432588584437E-5</v>
      </c>
      <c r="M15" s="12">
        <f t="shared" si="1"/>
        <v>5.0150516435067463</v>
      </c>
      <c r="N15" s="5">
        <f t="shared" si="14"/>
        <v>0.46306673667538201</v>
      </c>
      <c r="O15" s="12">
        <f t="shared" si="2"/>
        <v>5.0149483564932558</v>
      </c>
      <c r="P15" s="5">
        <f t="shared" si="3"/>
        <v>0.46305720788557486</v>
      </c>
      <c r="Q15" s="12">
        <f t="shared" si="4"/>
        <v>10.030000000000001</v>
      </c>
      <c r="R15" s="12">
        <v>0.91089999999999982</v>
      </c>
      <c r="S15" s="5">
        <v>1.4142135623730951E-4</v>
      </c>
      <c r="T15" s="12">
        <f t="shared" si="5"/>
        <v>5.5056006625389697</v>
      </c>
      <c r="U15" s="5">
        <f t="shared" si="15"/>
        <v>0.50836248903237291</v>
      </c>
      <c r="V15" s="12">
        <f>SUM($T$2:T15)</f>
        <v>477.70664659183171</v>
      </c>
      <c r="W15" s="5">
        <f>SQRT((U15^2)+(U14^2)+(U13^2)+(U12^2)+(U11^2)+(U10^2)+(U9^2)+(U8^2)+(U7^2)+(U6^2)+(U5^2)+(U4^2)+(U3^2)+(U2^2))</f>
        <v>3.3062725353728744</v>
      </c>
      <c r="X15" s="12">
        <f t="shared" si="6"/>
        <v>8.3584194058445777E-2</v>
      </c>
      <c r="Y15" s="5">
        <f t="shared" si="16"/>
        <v>7.7177789445897014E-3</v>
      </c>
      <c r="Z15" s="5">
        <f t="shared" si="17"/>
        <v>5.9564111837552126E-5</v>
      </c>
      <c r="AA15" s="12">
        <f t="shared" si="7"/>
        <v>958.83332916669315</v>
      </c>
      <c r="AB15" s="13">
        <f t="shared" si="8"/>
        <v>0.99736912584502679</v>
      </c>
      <c r="AC15" s="12">
        <f t="shared" si="18"/>
        <v>8.3804673608307845E-2</v>
      </c>
    </row>
    <row r="16" spans="1:31" x14ac:dyDescent="0.25">
      <c r="A16" s="28" t="s">
        <v>28</v>
      </c>
      <c r="B16" s="25">
        <v>43262.625</v>
      </c>
      <c r="C16" s="17">
        <v>43302.474305324075</v>
      </c>
      <c r="D16" s="14">
        <v>13.92</v>
      </c>
      <c r="E16" s="15">
        <v>4.95</v>
      </c>
      <c r="F16" s="5">
        <f t="shared" si="9"/>
        <v>0.68903999999999999</v>
      </c>
      <c r="G16" s="12">
        <f t="shared" si="10"/>
        <v>6.35</v>
      </c>
      <c r="H16" s="5">
        <f t="shared" si="19"/>
        <v>0.85602936655759643</v>
      </c>
      <c r="I16" s="16">
        <f t="shared" si="11"/>
        <v>956.38332777778851</v>
      </c>
      <c r="J16" s="7">
        <f t="shared" si="12"/>
        <v>1.6666666666666666E-2</v>
      </c>
      <c r="K16" s="13">
        <f t="shared" si="0"/>
        <v>0.99997953207605439</v>
      </c>
      <c r="L16" s="5">
        <f t="shared" si="13"/>
        <v>1.7426407435736119E-5</v>
      </c>
      <c r="M16" s="12">
        <f t="shared" si="1"/>
        <v>3.175032493161797</v>
      </c>
      <c r="N16" s="5">
        <f t="shared" si="14"/>
        <v>0.42801906718594185</v>
      </c>
      <c r="O16" s="12">
        <f t="shared" si="2"/>
        <v>3.1749675068382022</v>
      </c>
      <c r="P16" s="5">
        <f t="shared" si="3"/>
        <v>0.42801031010047724</v>
      </c>
      <c r="Q16" s="12">
        <f t="shared" si="4"/>
        <v>6.35</v>
      </c>
      <c r="R16" s="12">
        <v>0.88659999999999961</v>
      </c>
      <c r="S16" s="5">
        <v>1.4142135623730951E-4</v>
      </c>
      <c r="T16" s="12">
        <f t="shared" si="5"/>
        <v>3.5811329722104652</v>
      </c>
      <c r="U16" s="5">
        <f t="shared" si="15"/>
        <v>0.48276490729827631</v>
      </c>
      <c r="V16" s="12">
        <f>SUM($T$2:T16)</f>
        <v>481.28777956404218</v>
      </c>
      <c r="W16" s="5">
        <f>SQRT((U16^2)+(U15^2)+(U14^2)+(U13^2)+(U12^2)+(U11^2)+(U10^2)+(U9^2)+(U8^2)+(U7^2)+(U6^2)+(U5^2)+(U4^2)+(U3^2)+(U2^2))</f>
        <v>3.3413320747689368</v>
      </c>
      <c r="X16" s="12">
        <f t="shared" si="6"/>
        <v>5.2917208219363285E-2</v>
      </c>
      <c r="Y16" s="5">
        <f t="shared" si="16"/>
        <v>7.1336511197656978E-3</v>
      </c>
      <c r="Z16" s="5">
        <f t="shared" si="17"/>
        <v>5.0888978298534391E-5</v>
      </c>
      <c r="AA16" s="12">
        <f t="shared" si="7"/>
        <v>959.38332777778851</v>
      </c>
      <c r="AB16" s="13">
        <f t="shared" si="8"/>
        <v>0.99736761873120772</v>
      </c>
      <c r="AC16" s="12">
        <f t="shared" si="18"/>
        <v>5.3056874141032807E-2</v>
      </c>
    </row>
    <row r="17" spans="1:29" ht="15.75" thickBot="1" x14ac:dyDescent="0.3">
      <c r="A17" s="29" t="s">
        <v>29</v>
      </c>
      <c r="B17" s="25">
        <v>43262.625</v>
      </c>
      <c r="C17" s="17">
        <v>43302.49722193287</v>
      </c>
      <c r="D17" s="14">
        <v>7.57</v>
      </c>
      <c r="E17" s="15">
        <v>6.71</v>
      </c>
      <c r="F17" s="5">
        <f t="shared" si="9"/>
        <v>0.50794699999999993</v>
      </c>
      <c r="G17" s="12">
        <f t="shared" si="10"/>
        <v>0</v>
      </c>
      <c r="H17" s="5">
        <f t="shared" si="19"/>
        <v>0.71834553636672638</v>
      </c>
      <c r="I17" s="16">
        <f t="shared" si="11"/>
        <v>956.93332638888387</v>
      </c>
      <c r="J17" s="7">
        <f t="shared" si="12"/>
        <v>1.6666666666666666E-2</v>
      </c>
      <c r="K17" s="13">
        <f t="shared" si="0"/>
        <v>0.99997965876680717</v>
      </c>
      <c r="L17" s="5">
        <f t="shared" si="13"/>
        <v>1.7416393793082819E-5</v>
      </c>
      <c r="M17" s="12">
        <f t="shared" si="1"/>
        <v>0</v>
      </c>
      <c r="N17" s="5" t="e">
        <f t="shared" si="14"/>
        <v>#DIV/0!</v>
      </c>
      <c r="O17" s="12">
        <f t="shared" si="2"/>
        <v>0</v>
      </c>
      <c r="P17" s="5" t="e">
        <f t="shared" si="3"/>
        <v>#DIV/0!</v>
      </c>
      <c r="Q17" s="12">
        <f t="shared" si="4"/>
        <v>0</v>
      </c>
      <c r="R17" s="12"/>
      <c r="S17" s="5"/>
      <c r="T17" s="12"/>
      <c r="U17" s="12"/>
      <c r="V17" s="12"/>
      <c r="W17" s="12"/>
      <c r="X17" s="12">
        <f t="shared" ref="X17" si="20">M17/60</f>
        <v>0</v>
      </c>
      <c r="Y17" s="12"/>
      <c r="Z17" s="12"/>
      <c r="AA17" s="12"/>
      <c r="AB17" s="12"/>
      <c r="AC17" s="12"/>
    </row>
    <row r="18" spans="1:29" x14ac:dyDescent="0.25">
      <c r="C18" s="1"/>
    </row>
    <row r="22" spans="1:29" x14ac:dyDescent="0.25">
      <c r="Y22" s="30" t="s">
        <v>49</v>
      </c>
    </row>
    <row r="23" spans="1:29" s="2" customFormat="1" x14ac:dyDescent="0.25">
      <c r="E23" s="5"/>
      <c r="F23" s="5"/>
      <c r="Q23" s="2" t="s">
        <v>30</v>
      </c>
      <c r="S23" s="5"/>
      <c r="W23" s="2" t="s">
        <v>48</v>
      </c>
      <c r="X23" s="2">
        <f>SUM(X2:X17)</f>
        <v>7.3169113782699897</v>
      </c>
      <c r="Y23" s="2">
        <f>SQRT(SUM(Z2:Z16))</f>
        <v>5.1190478247095737E-2</v>
      </c>
      <c r="AC23" s="2">
        <f>SUM(AC2:AC16)</f>
        <v>7.3361493376263622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2021-06-23T16:09:45Z</dcterms:modified>
</cp:coreProperties>
</file>